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<sst xmlns="http://schemas.openxmlformats.org/spreadsheetml/2006/main" count="162" uniqueCount="112">
  <si>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</si>
  <si>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</si>
  <si>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</si>
  <si>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</si>
  <si>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</si>
  <si>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</si>
  <si>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</si>
  <si>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</si>
  <si>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</si>
  <si>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</si>
  <si>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</si>
  <si>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</si>
  <si>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</si>
  <si>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</si>
  <si>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</si>
  <si>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</si>
  <si>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</si>
  <si>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</si>
  <si>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</si>
  <si>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</si>
  <si>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</si>
  <si>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</si>
  <si>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</si>
  <si>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</si>
  <si>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</si>
  <si>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</si>
  <si>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</si>
  <si>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</si>
  <si>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</si>
  <si>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</si>
  <si>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</si>
  <si>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</si>
  <si>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</si>
  <si>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</si>
  <si>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</si>
  <si>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</si>
  <si>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</si>
  <si>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</si>
  <si>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</si>
  <si>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</si>
  <si>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</si>
  <si>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</si>
  <si>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</si>
  <si>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</si>
  <si>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</si>
  <si>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</si>
  <si>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</si>
  <si>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</si>
  <si>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</si>
  <si>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</si>
  <si>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</si>
  <si>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</si>
  <si>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</si>
  <si>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</si>
  <si>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</si>
  <si>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</si>
  <si>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</si>
  <si>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</si>
  <si>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</si>
  <si>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</si>
  <si>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</si>
  <si>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</si>
  <si>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</si>
  <si>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</si>
  <si>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</si>
  <si>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</si>
  <si>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</si>
  <si>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</si>
  <si>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</si>
  <si>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</si>
  <si>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</si>
  <si>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</si>
  <si>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</si>
  <si>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</si>
  <si>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</si>
  <si>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</si>
  <si>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</si>
  <si>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</si>
  <si>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</si>
  <si>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</si>
  <si>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</si>
  <si>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</si>
  <si>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</si>
  <si>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</si>
  <si>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</si>
  <si>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</si>
  <si>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</si>
  <si>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</si>
  <si>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</si>
  <si>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</si>
  <si>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</si>
  <si>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</si>
  <si>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</si>
  <si>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</si>
  <si>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</si>
  <si>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</si>
  <si>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</si>
  <si>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</si>
  <si>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</si>
  <si>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</si>
  <si>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</si>
  <si>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</si>
  <si>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</si>
  <si>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</si>
  <si>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</si>
  <si>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</si>
  <si>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</si>
  <si>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</si>
  <si>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</si>
  <si>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</si>
  <si>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Субвенція державному бюджету на виконання програм соціально-економічного та культурного розвитку регіонів</t>
  </si>
  <si>
    <t>Аналіз використання коштів міського бюджету за 2017 рік станом на 03.03.2017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</si>
</sst>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42082996"/>
        <c:axId val="43202645"/>
      </c:bar3DChart>
      <c:catAx>
        <c:axId val="4208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02645"/>
        <c:crosses val="autoZero"/>
        <c:auto val="1"/>
        <c:lblOffset val="100"/>
        <c:tickLblSkip val="1"/>
        <c:noMultiLvlLbl val="0"/>
      </c:catAx>
      <c:valAx>
        <c:axId val="43202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2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53279486"/>
        <c:axId val="9753327"/>
      </c:bar3DChart>
      <c:catAx>
        <c:axId val="5327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53327"/>
        <c:crosses val="autoZero"/>
        <c:auto val="1"/>
        <c:lblOffset val="100"/>
        <c:tickLblSkip val="1"/>
        <c:noMultiLvlLbl val="0"/>
      </c:catAx>
      <c:valAx>
        <c:axId val="9753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9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20671080"/>
        <c:axId val="51821993"/>
      </c:bar3D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21993"/>
        <c:crosses val="autoZero"/>
        <c:auto val="1"/>
        <c:lblOffset val="100"/>
        <c:tickLblSkip val="1"/>
        <c:noMultiLvlLbl val="0"/>
      </c:catAx>
      <c:valAx>
        <c:axId val="51821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1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63744754"/>
        <c:axId val="36831875"/>
      </c:bar3DChart>
      <c:catAx>
        <c:axId val="63744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31875"/>
        <c:crosses val="autoZero"/>
        <c:auto val="1"/>
        <c:lblOffset val="100"/>
        <c:tickLblSkip val="1"/>
        <c:noMultiLvlLbl val="0"/>
      </c:catAx>
      <c:valAx>
        <c:axId val="36831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44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63051420"/>
        <c:axId val="30591869"/>
      </c:bar3DChart>
      <c:catAx>
        <c:axId val="6305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91869"/>
        <c:crosses val="autoZero"/>
        <c:auto val="1"/>
        <c:lblOffset val="100"/>
        <c:tickLblSkip val="2"/>
        <c:noMultiLvlLbl val="0"/>
      </c:catAx>
      <c:valAx>
        <c:axId val="30591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51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6891366"/>
        <c:axId val="62022295"/>
      </c:bar3DChart>
      <c:catAx>
        <c:axId val="689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22295"/>
        <c:crosses val="autoZero"/>
        <c:auto val="1"/>
        <c:lblOffset val="100"/>
        <c:tickLblSkip val="1"/>
        <c:noMultiLvlLbl val="0"/>
      </c:catAx>
      <c:valAx>
        <c:axId val="62022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1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21329744"/>
        <c:axId val="57749969"/>
      </c:bar3DChart>
      <c:catAx>
        <c:axId val="21329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749969"/>
        <c:crosses val="autoZero"/>
        <c:auto val="1"/>
        <c:lblOffset val="100"/>
        <c:tickLblSkip val="1"/>
        <c:noMultiLvlLbl val="0"/>
      </c:catAx>
      <c:valAx>
        <c:axId val="57749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29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49987674"/>
        <c:axId val="47235883"/>
      </c:bar3DChart>
      <c:catAx>
        <c:axId val="49987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35883"/>
        <c:crosses val="autoZero"/>
        <c:auto val="1"/>
        <c:lblOffset val="100"/>
        <c:tickLblSkip val="1"/>
        <c:noMultiLvlLbl val="0"/>
      </c:catAx>
      <c:valAx>
        <c:axId val="47235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7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22469764"/>
        <c:axId val="901285"/>
      </c:bar3DChart>
      <c:catAx>
        <c:axId val="22469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1285"/>
        <c:crosses val="autoZero"/>
        <c:auto val="1"/>
        <c:lblOffset val="100"/>
        <c:tickLblSkip val="1"/>
        <c:noMultiLvlLbl val="0"/>
      </c:catAx>
      <c:valAx>
        <c:axId val="901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9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107</v>
      </c>
      <c r="C3" s="130" t="s">
        <v>91</v>
      </c>
      <c r="D3" s="130" t="s">
        <v>23</v>
      </c>
      <c r="E3" s="130" t="s">
        <v>22</v>
      </c>
      <c r="F3" s="130" t="s">
        <v>108</v>
      </c>
      <c r="G3" s="130" t="s">
        <v>93</v>
      </c>
      <c r="H3" s="130" t="s">
        <v>109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172086.4</v>
      </c>
      <c r="C6" s="46">
        <f>625865.1-190.4-316.9+47.1+50</f>
        <v>625454.8999999999</v>
      </c>
      <c r="D6" s="47">
        <f>13522.8+199.8+351+3.4+1.2+14658+9356.3+1168.4+403.4+43.4+23+194.4+502.3+461.6+16471.9+946.1+4113.7+1906.3+1145.7+13071.9+14499.5+2217+39.1+0.3</f>
        <v>95300.50000000001</v>
      </c>
      <c r="E6" s="3">
        <f>D6/D150*100</f>
        <v>39.77597852358854</v>
      </c>
      <c r="F6" s="3">
        <f>D6/B6*100</f>
        <v>55.37944892798038</v>
      </c>
      <c r="G6" s="3">
        <f aca="true" t="shared" si="0" ref="G6:G43">D6/C6*100</f>
        <v>15.236989909264445</v>
      </c>
      <c r="H6" s="47">
        <f>B6-D6</f>
        <v>76785.89999999998</v>
      </c>
      <c r="I6" s="47">
        <f aca="true" t="shared" si="1" ref="I6:I43">C6-D6</f>
        <v>530154.3999999999</v>
      </c>
    </row>
    <row r="7" spans="1:9" s="37" customFormat="1" ht="18.75">
      <c r="A7" s="104" t="s">
        <v>83</v>
      </c>
      <c r="B7" s="97">
        <v>56191.6</v>
      </c>
      <c r="C7" s="94">
        <f>243287.4+47.1</f>
        <v>243334.5</v>
      </c>
      <c r="D7" s="105">
        <f>6699.4+11261.7+10.2+8073.8+9792.3+0.1</f>
        <v>35837.49999999999</v>
      </c>
      <c r="E7" s="95">
        <f>D7/D6*100</f>
        <v>37.60473449772036</v>
      </c>
      <c r="F7" s="95">
        <f>D7/B7*100</f>
        <v>63.77732614839228</v>
      </c>
      <c r="G7" s="95">
        <f>D7/C7*100</f>
        <v>14.727669113915203</v>
      </c>
      <c r="H7" s="105">
        <f>B7-D7</f>
        <v>20354.100000000006</v>
      </c>
      <c r="I7" s="105">
        <f t="shared" si="1"/>
        <v>207497</v>
      </c>
    </row>
    <row r="8" spans="1:9" ht="18">
      <c r="A8" s="23" t="s">
        <v>3</v>
      </c>
      <c r="B8" s="42">
        <v>115100.9</v>
      </c>
      <c r="C8" s="43">
        <f>487771.7+47.1</f>
        <v>487818.8</v>
      </c>
      <c r="D8" s="44">
        <f>12945+14658+9353.4+10.2+0.1+7+16015+13071.9+6973.3+1906</f>
        <v>74939.9</v>
      </c>
      <c r="E8" s="1">
        <f>D8/D6*100</f>
        <v>78.6353691743485</v>
      </c>
      <c r="F8" s="1">
        <f>D8/B8*100</f>
        <v>65.10800523714411</v>
      </c>
      <c r="G8" s="1">
        <f t="shared" si="0"/>
        <v>15.3622410616401</v>
      </c>
      <c r="H8" s="44">
        <f>B8-D8</f>
        <v>40161</v>
      </c>
      <c r="I8" s="44">
        <f t="shared" si="1"/>
        <v>412878.9</v>
      </c>
    </row>
    <row r="9" spans="1:9" ht="18">
      <c r="A9" s="23" t="s">
        <v>2</v>
      </c>
      <c r="B9" s="42">
        <v>23.9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23.9</v>
      </c>
      <c r="I9" s="44">
        <f t="shared" si="1"/>
        <v>92.5</v>
      </c>
    </row>
    <row r="10" spans="1:9" ht="18">
      <c r="A10" s="23" t="s">
        <v>1</v>
      </c>
      <c r="B10" s="42">
        <v>8443.8</v>
      </c>
      <c r="C10" s="43">
        <f>27822.4-190.4-170.5</f>
        <v>27461.5</v>
      </c>
      <c r="D10" s="48">
        <f>577.8+199.8+74.7+2.9+214.2+13.4+43.4+23+50.5+482.2+461.6+80.5+165.5+636+126.3+890.8+56.1+6.4</f>
        <v>4105.1</v>
      </c>
      <c r="E10" s="1">
        <f>D10/D6*100</f>
        <v>4.307532489336362</v>
      </c>
      <c r="F10" s="1">
        <f aca="true" t="shared" si="3" ref="F10:F41">D10/B10*100</f>
        <v>48.6167365404202</v>
      </c>
      <c r="G10" s="1">
        <f t="shared" si="0"/>
        <v>14.948564353731589</v>
      </c>
      <c r="H10" s="44">
        <f t="shared" si="2"/>
        <v>4338.699999999999</v>
      </c>
      <c r="I10" s="44">
        <f t="shared" si="1"/>
        <v>23356.4</v>
      </c>
    </row>
    <row r="11" spans="1:9" ht="18">
      <c r="A11" s="23" t="s">
        <v>0</v>
      </c>
      <c r="B11" s="42">
        <v>42044.8</v>
      </c>
      <c r="C11" s="43">
        <v>80900.5</v>
      </c>
      <c r="D11" s="49">
        <f>143.9+390+0.1+142.7+13.1+169.2+704.4+3378.9+1906.3+468.5+6301.9+20.7+31.8+0.1</f>
        <v>13671.6</v>
      </c>
      <c r="E11" s="1">
        <f>D11/D6*100</f>
        <v>14.34577992770237</v>
      </c>
      <c r="F11" s="1">
        <f t="shared" si="3"/>
        <v>32.516744044447826</v>
      </c>
      <c r="G11" s="1">
        <f t="shared" si="0"/>
        <v>16.899277507555578</v>
      </c>
      <c r="H11" s="44">
        <f t="shared" si="2"/>
        <v>28373.200000000004</v>
      </c>
      <c r="I11" s="44">
        <f t="shared" si="1"/>
        <v>67228.9</v>
      </c>
    </row>
    <row r="12" spans="1:9" ht="18">
      <c r="A12" s="23" t="s">
        <v>14</v>
      </c>
      <c r="B12" s="42">
        <v>3645.4</v>
      </c>
      <c r="C12" s="43">
        <v>14045.4</v>
      </c>
      <c r="D12" s="44">
        <f>276.3+3.4+1.2+766.5+1.2+207.2+488.1+284.1+207.8+0.1</f>
        <v>2235.9</v>
      </c>
      <c r="E12" s="1">
        <f>D12/D6*100</f>
        <v>2.346157680180062</v>
      </c>
      <c r="F12" s="1">
        <f t="shared" si="3"/>
        <v>61.33483294014375</v>
      </c>
      <c r="G12" s="1">
        <f t="shared" si="0"/>
        <v>15.919090947926012</v>
      </c>
      <c r="H12" s="44">
        <f t="shared" si="2"/>
        <v>1409.5</v>
      </c>
      <c r="I12" s="44">
        <f t="shared" si="1"/>
        <v>11809.5</v>
      </c>
    </row>
    <row r="13" spans="1:9" ht="18.75" thickBot="1">
      <c r="A13" s="23" t="s">
        <v>28</v>
      </c>
      <c r="B13" s="43">
        <f>B6-B8-B9-B10-B11-B12</f>
        <v>2827.6</v>
      </c>
      <c r="C13" s="43">
        <f>C6-C8-C9-C10-C11-C12</f>
        <v>15136.199999999919</v>
      </c>
      <c r="D13" s="43">
        <f>D6-D8-D9-D10-D11-D12</f>
        <v>348.00000000001955</v>
      </c>
      <c r="E13" s="1">
        <f>D13/D6*100</f>
        <v>0.3651607284327149</v>
      </c>
      <c r="F13" s="1">
        <f t="shared" si="3"/>
        <v>12.30725703777124</v>
      </c>
      <c r="G13" s="1">
        <f t="shared" si="0"/>
        <v>2.2991239544933433</v>
      </c>
      <c r="H13" s="44">
        <f t="shared" si="2"/>
        <v>2479.5999999999804</v>
      </c>
      <c r="I13" s="44">
        <f t="shared" si="1"/>
        <v>14788.199999999899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99257.2+2377.2</f>
        <v>101634.4</v>
      </c>
      <c r="C18" s="46">
        <f>329127.1+600+14307.6</f>
        <v>344034.69999999995</v>
      </c>
      <c r="D18" s="47">
        <f>7750.2+16091.8+509.8+21.4+337.2+206.3+9326.4+708.9+873+242.1+3327.1+2.3+17653.4+33.8-2.1</f>
        <v>57081.600000000006</v>
      </c>
      <c r="E18" s="3">
        <f>D18/D150*100</f>
        <v>23.824392271730698</v>
      </c>
      <c r="F18" s="3">
        <f>D18/B18*100</f>
        <v>56.16366112261204</v>
      </c>
      <c r="G18" s="3">
        <f t="shared" si="0"/>
        <v>16.591814721015062</v>
      </c>
      <c r="H18" s="47">
        <f>B18-D18</f>
        <v>44552.79999999999</v>
      </c>
      <c r="I18" s="47">
        <f t="shared" si="1"/>
        <v>286953.1</v>
      </c>
    </row>
    <row r="19" spans="1:13" s="37" customFormat="1" ht="18.75">
      <c r="A19" s="104" t="s">
        <v>84</v>
      </c>
      <c r="B19" s="97">
        <f>59541.9+1256</f>
        <v>60797.9</v>
      </c>
      <c r="C19" s="94">
        <f>238249.5+1256</f>
        <v>239505.5</v>
      </c>
      <c r="D19" s="105">
        <f>7750.2+9045.4-324.4+287.3+8839.2+63.1+167.7+672.4+2.3+8064+287.9+29.4+0.1</f>
        <v>34884.6</v>
      </c>
      <c r="E19" s="95">
        <f>D19/D18*100</f>
        <v>61.113563740329624</v>
      </c>
      <c r="F19" s="95">
        <f t="shared" si="3"/>
        <v>57.37796864694339</v>
      </c>
      <c r="G19" s="95">
        <f t="shared" si="0"/>
        <v>14.565260505499872</v>
      </c>
      <c r="H19" s="105">
        <f t="shared" si="2"/>
        <v>25913.300000000003</v>
      </c>
      <c r="I19" s="105">
        <f t="shared" si="1"/>
        <v>204620.9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101634.4</v>
      </c>
      <c r="C25" s="43">
        <f>C18</f>
        <v>344034.69999999995</v>
      </c>
      <c r="D25" s="43">
        <f>D18</f>
        <v>57081.600000000006</v>
      </c>
      <c r="E25" s="1">
        <f>D25/D18*100</f>
        <v>100</v>
      </c>
      <c r="F25" s="1">
        <f t="shared" si="3"/>
        <v>56.16366112261204</v>
      </c>
      <c r="G25" s="1">
        <f t="shared" si="0"/>
        <v>16.591814721015062</v>
      </c>
      <c r="H25" s="44">
        <f t="shared" si="2"/>
        <v>44552.79999999999</v>
      </c>
      <c r="I25" s="44">
        <f t="shared" si="1"/>
        <v>286953.1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14983.5</v>
      </c>
      <c r="C33" s="46">
        <v>67303.3</v>
      </c>
      <c r="D33" s="50">
        <f>1839.2+34.8+165.7+1873.2+1.3+5.1+223.7+77.9+1834.7+29.7+171.2+8.4+128.8+239.3+79.6+50.8+1967+148.5</f>
        <v>8878.9</v>
      </c>
      <c r="E33" s="3">
        <f>D33/D150*100</f>
        <v>3.7058245834291554</v>
      </c>
      <c r="F33" s="3">
        <f>D33/B33*100</f>
        <v>59.25785030199886</v>
      </c>
      <c r="G33" s="3">
        <f t="shared" si="0"/>
        <v>13.192369467767554</v>
      </c>
      <c r="H33" s="47">
        <f t="shared" si="2"/>
        <v>6104.6</v>
      </c>
      <c r="I33" s="47">
        <f t="shared" si="1"/>
        <v>58424.4</v>
      </c>
    </row>
    <row r="34" spans="1:9" ht="18">
      <c r="A34" s="23" t="s">
        <v>3</v>
      </c>
      <c r="B34" s="42">
        <v>11159.5</v>
      </c>
      <c r="C34" s="43">
        <v>55535.9</v>
      </c>
      <c r="D34" s="44">
        <f>1743.2+1833.7+1830.2+1935.3</f>
        <v>7342.400000000001</v>
      </c>
      <c r="E34" s="1">
        <f>D34/D33*100</f>
        <v>82.69492842581853</v>
      </c>
      <c r="F34" s="1">
        <f t="shared" si="3"/>
        <v>65.7950625028003</v>
      </c>
      <c r="G34" s="1">
        <f t="shared" si="0"/>
        <v>13.22099758894697</v>
      </c>
      <c r="H34" s="44">
        <f t="shared" si="2"/>
        <v>3817.0999999999995</v>
      </c>
      <c r="I34" s="44">
        <f t="shared" si="1"/>
        <v>48193.5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1348.3</v>
      </c>
      <c r="C36" s="43">
        <v>2945.3</v>
      </c>
      <c r="D36" s="44">
        <f>5.4+1.2+41.8+16.1+2.9+29.7+160.9+0.8+93.4+46.9+11.2+0.1+33.7</f>
        <v>444.1</v>
      </c>
      <c r="E36" s="1">
        <f>D36/D33*100</f>
        <v>5.001745711743572</v>
      </c>
      <c r="F36" s="1">
        <f t="shared" si="3"/>
        <v>32.93777349254617</v>
      </c>
      <c r="G36" s="1">
        <f t="shared" si="0"/>
        <v>15.078260279088717</v>
      </c>
      <c r="H36" s="44">
        <f t="shared" si="2"/>
        <v>904.1999999999999</v>
      </c>
      <c r="I36" s="44">
        <f t="shared" si="1"/>
        <v>2501.2000000000003</v>
      </c>
    </row>
    <row r="37" spans="1:9" s="37" customFormat="1" ht="18.75">
      <c r="A37" s="18" t="s">
        <v>7</v>
      </c>
      <c r="B37" s="51">
        <v>134.5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134.5</v>
      </c>
      <c r="I37" s="53">
        <f t="shared" si="1"/>
        <v>856.1</v>
      </c>
    </row>
    <row r="38" spans="1:9" ht="18">
      <c r="A38" s="23" t="s">
        <v>14</v>
      </c>
      <c r="B38" s="42">
        <v>15.3</v>
      </c>
      <c r="C38" s="43">
        <v>80.8</v>
      </c>
      <c r="D38" s="43">
        <f>5.1+5.1</f>
        <v>10.2</v>
      </c>
      <c r="E38" s="1">
        <f>D38/D33*100</f>
        <v>0.11487909538343713</v>
      </c>
      <c r="F38" s="1">
        <f t="shared" si="3"/>
        <v>66.66666666666666</v>
      </c>
      <c r="G38" s="1">
        <f t="shared" si="0"/>
        <v>12.623762376237623</v>
      </c>
      <c r="H38" s="44">
        <f t="shared" si="2"/>
        <v>5.100000000000001</v>
      </c>
      <c r="I38" s="44">
        <f t="shared" si="1"/>
        <v>70.6</v>
      </c>
    </row>
    <row r="39" spans="1:9" ht="18.75" thickBot="1">
      <c r="A39" s="23" t="s">
        <v>28</v>
      </c>
      <c r="B39" s="42">
        <f>B33-B34-B36-B37-B35-B38</f>
        <v>2325.8999999999996</v>
      </c>
      <c r="C39" s="42">
        <f>C33-C34-C36-C37-C35-C38</f>
        <v>7885.200000000002</v>
      </c>
      <c r="D39" s="42">
        <f>D33-D34-D36-D37-D35-D38</f>
        <v>1082.1999999999991</v>
      </c>
      <c r="E39" s="1">
        <f>D39/D33*100</f>
        <v>12.188446767054469</v>
      </c>
      <c r="F39" s="1">
        <f t="shared" si="3"/>
        <v>46.52822563308824</v>
      </c>
      <c r="G39" s="1">
        <f t="shared" si="0"/>
        <v>13.724445797189658</v>
      </c>
      <c r="H39" s="44">
        <f>B39-D39</f>
        <v>1243.7000000000005</v>
      </c>
      <c r="I39" s="44">
        <f t="shared" si="1"/>
        <v>6803.000000000003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546.1+6.6</f>
        <v>552.7</v>
      </c>
      <c r="C43" s="46">
        <f>1548.6+6.6</f>
        <v>1555.1999999999998</v>
      </c>
      <c r="D43" s="47">
        <f>29.1+22+50.2+8.1+0.6+111.5+89.2+3+14.7</f>
        <v>328.4</v>
      </c>
      <c r="E43" s="3">
        <f>D43/D150*100</f>
        <v>0.13706571683408242</v>
      </c>
      <c r="F43" s="3">
        <f>D43/B43*100</f>
        <v>59.41740546408539</v>
      </c>
      <c r="G43" s="3">
        <f t="shared" si="0"/>
        <v>21.116255144032923</v>
      </c>
      <c r="H43" s="47">
        <f t="shared" si="2"/>
        <v>224.30000000000007</v>
      </c>
      <c r="I43" s="47">
        <f t="shared" si="1"/>
        <v>1226.7999999999997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3036.1</v>
      </c>
      <c r="C45" s="46">
        <v>11788</v>
      </c>
      <c r="D45" s="47">
        <f>102.9+155.5+3.1+3.7+452.3+6+17.2+314.1+59.3+95.2+2.2+579+1.9</f>
        <v>1792.4000000000003</v>
      </c>
      <c r="E45" s="3">
        <f>D45/D150*100</f>
        <v>0.7481016773855342</v>
      </c>
      <c r="F45" s="3">
        <f>D45/B45*100</f>
        <v>59.03626362768026</v>
      </c>
      <c r="G45" s="3">
        <f aca="true" t="shared" si="4" ref="G45:G76">D45/C45*100</f>
        <v>15.205293518832713</v>
      </c>
      <c r="H45" s="47">
        <f>B45-D45</f>
        <v>1243.6999999999996</v>
      </c>
      <c r="I45" s="47">
        <f aca="true" t="shared" si="5" ref="I45:I77">C45-D45</f>
        <v>9995.6</v>
      </c>
    </row>
    <row r="46" spans="1:9" ht="18">
      <c r="A46" s="23" t="s">
        <v>3</v>
      </c>
      <c r="B46" s="42">
        <v>2511.9</v>
      </c>
      <c r="C46" s="43">
        <v>10529.7</v>
      </c>
      <c r="D46" s="44">
        <f>102.7+154.9+447.3+314.1+572.1</f>
        <v>1591.1000000000001</v>
      </c>
      <c r="E46" s="1">
        <f>D46/D45*100</f>
        <v>88.76924793572863</v>
      </c>
      <c r="F46" s="1">
        <f aca="true" t="shared" si="6" ref="F46:F74">D46/B46*100</f>
        <v>63.342489748795735</v>
      </c>
      <c r="G46" s="1">
        <f t="shared" si="4"/>
        <v>15.110591944689784</v>
      </c>
      <c r="H46" s="44">
        <f aca="true" t="shared" si="7" ref="H46:H74">B46-D46</f>
        <v>920.8</v>
      </c>
      <c r="I46" s="44">
        <f t="shared" si="5"/>
        <v>8938.6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16.4</v>
      </c>
      <c r="C48" s="43">
        <v>73.4</v>
      </c>
      <c r="D48" s="44">
        <f>5.4</f>
        <v>5.4</v>
      </c>
      <c r="E48" s="1">
        <f>D48/D45*100</f>
        <v>0.3012720374916313</v>
      </c>
      <c r="F48" s="1">
        <f t="shared" si="6"/>
        <v>32.92682926829269</v>
      </c>
      <c r="G48" s="1">
        <f t="shared" si="4"/>
        <v>7.3569482288828345</v>
      </c>
      <c r="H48" s="44">
        <f t="shared" si="7"/>
        <v>10.999999999999998</v>
      </c>
      <c r="I48" s="44">
        <f t="shared" si="5"/>
        <v>68</v>
      </c>
    </row>
    <row r="49" spans="1:9" ht="18">
      <c r="A49" s="23" t="s">
        <v>0</v>
      </c>
      <c r="B49" s="42">
        <v>436.5</v>
      </c>
      <c r="C49" s="43">
        <v>865.1</v>
      </c>
      <c r="D49" s="44">
        <f>3.1+3.5+1+0.7+59.3+95.2+2.2+6-0.1</f>
        <v>170.9</v>
      </c>
      <c r="E49" s="1">
        <f>D49/D45*100</f>
        <v>9.53470207542959</v>
      </c>
      <c r="F49" s="1">
        <f t="shared" si="6"/>
        <v>39.152348224513176</v>
      </c>
      <c r="G49" s="1">
        <f t="shared" si="4"/>
        <v>19.754941625245635</v>
      </c>
      <c r="H49" s="44">
        <f t="shared" si="7"/>
        <v>265.6</v>
      </c>
      <c r="I49" s="44">
        <f t="shared" si="5"/>
        <v>694.2</v>
      </c>
    </row>
    <row r="50" spans="1:9" ht="18.75" thickBot="1">
      <c r="A50" s="23" t="s">
        <v>28</v>
      </c>
      <c r="B50" s="43">
        <f>B45-B46-B49-B48-B47</f>
        <v>70.49999999999982</v>
      </c>
      <c r="C50" s="43">
        <f>C45-C46-C49-C48-C47</f>
        <v>318.3999999999993</v>
      </c>
      <c r="D50" s="43">
        <f>D45-D46-D49-D48-D47</f>
        <v>25.000000000000178</v>
      </c>
      <c r="E50" s="1">
        <f>D50/D45*100</f>
        <v>1.3947779513501548</v>
      </c>
      <c r="F50" s="1">
        <f t="shared" si="6"/>
        <v>35.46099290780177</v>
      </c>
      <c r="G50" s="1">
        <f t="shared" si="4"/>
        <v>7.851758793969922</v>
      </c>
      <c r="H50" s="44">
        <f t="shared" si="7"/>
        <v>45.49999999999964</v>
      </c>
      <c r="I50" s="44">
        <f t="shared" si="5"/>
        <v>293.3999999999991</v>
      </c>
    </row>
    <row r="51" spans="1:9" ht="18.75" thickBot="1">
      <c r="A51" s="22" t="s">
        <v>4</v>
      </c>
      <c r="B51" s="45">
        <f>5920.5+50+356.2</f>
        <v>6326.7</v>
      </c>
      <c r="C51" s="46">
        <f>23558.7+50+2250</f>
        <v>25858.7</v>
      </c>
      <c r="D51" s="47">
        <f>475.9+7.8+935.8+30.7-0.1+8+35.8+34+6+454.4+67.8+74.7+41.8+81.6+68+973+34+4.9</f>
        <v>3334.1000000000004</v>
      </c>
      <c r="E51" s="3">
        <f>D51/D150*100</f>
        <v>1.391567620269532</v>
      </c>
      <c r="F51" s="3">
        <f>D51/B51*100</f>
        <v>52.69887935258508</v>
      </c>
      <c r="G51" s="3">
        <f t="shared" si="4"/>
        <v>12.893532930889798</v>
      </c>
      <c r="H51" s="47">
        <f>B51-D51</f>
        <v>2992.5999999999995</v>
      </c>
      <c r="I51" s="47">
        <f t="shared" si="5"/>
        <v>22524.6</v>
      </c>
    </row>
    <row r="52" spans="1:9" ht="18">
      <c r="A52" s="23" t="s">
        <v>3</v>
      </c>
      <c r="B52" s="42">
        <v>3512</v>
      </c>
      <c r="C52" s="43">
        <v>16189.8</v>
      </c>
      <c r="D52" s="44">
        <f>392.4+738.8+389.6+752.9</f>
        <v>2273.7</v>
      </c>
      <c r="E52" s="1">
        <f>D52/D51*100</f>
        <v>68.19531507753216</v>
      </c>
      <c r="F52" s="1">
        <f t="shared" si="6"/>
        <v>64.74088838268793</v>
      </c>
      <c r="G52" s="1">
        <f t="shared" si="4"/>
        <v>14.044027721157764</v>
      </c>
      <c r="H52" s="44">
        <f t="shared" si="7"/>
        <v>1238.3000000000002</v>
      </c>
      <c r="I52" s="44">
        <f t="shared" si="5"/>
        <v>13916.099999999999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200.5</v>
      </c>
      <c r="C54" s="43">
        <v>810.2</v>
      </c>
      <c r="D54" s="44">
        <f>1.9+1.9+0.5+7.4+2.1+1.2+12.9+5.1+0.1+4.5</f>
        <v>37.6</v>
      </c>
      <c r="E54" s="1">
        <f>D54/D51*100</f>
        <v>1.1277406196574786</v>
      </c>
      <c r="F54" s="1">
        <f t="shared" si="6"/>
        <v>18.753117206982544</v>
      </c>
      <c r="G54" s="1">
        <f t="shared" si="4"/>
        <v>4.640829424833375</v>
      </c>
      <c r="H54" s="44">
        <f t="shared" si="7"/>
        <v>162.9</v>
      </c>
      <c r="I54" s="44">
        <f t="shared" si="5"/>
        <v>772.6</v>
      </c>
    </row>
    <row r="55" spans="1:9" ht="18">
      <c r="A55" s="23" t="s">
        <v>0</v>
      </c>
      <c r="B55" s="42">
        <v>492</v>
      </c>
      <c r="C55" s="43">
        <v>1048.5</v>
      </c>
      <c r="D55" s="44">
        <f>0.5+0.6+7.5+73.9+2.1+51.2+20.8+16.3+5.9+0.4</f>
        <v>179.20000000000005</v>
      </c>
      <c r="E55" s="1">
        <f>D55/D51*100</f>
        <v>5.374763804325006</v>
      </c>
      <c r="F55" s="1">
        <f t="shared" si="6"/>
        <v>36.42276422764228</v>
      </c>
      <c r="G55" s="1">
        <f t="shared" si="4"/>
        <v>17.091082498807825</v>
      </c>
      <c r="H55" s="44">
        <f t="shared" si="7"/>
        <v>312.79999999999995</v>
      </c>
      <c r="I55" s="44">
        <f t="shared" si="5"/>
        <v>869.3</v>
      </c>
    </row>
    <row r="56" spans="1:9" ht="18">
      <c r="A56" s="23" t="s">
        <v>14</v>
      </c>
      <c r="B56" s="42">
        <v>129.7</v>
      </c>
      <c r="C56" s="43">
        <v>518.9</v>
      </c>
      <c r="D56" s="43">
        <f>34+46</f>
        <v>80</v>
      </c>
      <c r="E56" s="1">
        <f>D56/D51*100</f>
        <v>2.3994481269308054</v>
      </c>
      <c r="F56" s="1">
        <f>D56/B56*100</f>
        <v>61.68080185042406</v>
      </c>
      <c r="G56" s="1">
        <f>D56/C56*100</f>
        <v>15.417228753131626</v>
      </c>
      <c r="H56" s="44">
        <f t="shared" si="7"/>
        <v>49.69999999999999</v>
      </c>
      <c r="I56" s="44">
        <f t="shared" si="5"/>
        <v>438.9</v>
      </c>
    </row>
    <row r="57" spans="1:9" ht="18.75" thickBot="1">
      <c r="A57" s="23" t="s">
        <v>28</v>
      </c>
      <c r="B57" s="43">
        <f>B51-B52-B55-B54-B53-B56</f>
        <v>1992.4999999999998</v>
      </c>
      <c r="C57" s="43">
        <f>C51-C52-C55-C54-C53-C56</f>
        <v>7278.300000000002</v>
      </c>
      <c r="D57" s="43">
        <f>D51-D52-D55-D54-D53-D56</f>
        <v>763.6000000000005</v>
      </c>
      <c r="E57" s="1">
        <f>D57/D51*100</f>
        <v>22.902732371554553</v>
      </c>
      <c r="F57" s="1">
        <f t="shared" si="6"/>
        <v>38.32371392722713</v>
      </c>
      <c r="G57" s="1">
        <f t="shared" si="4"/>
        <v>10.491460918071532</v>
      </c>
      <c r="H57" s="44">
        <f>B57-D57</f>
        <v>1228.8999999999992</v>
      </c>
      <c r="I57" s="44">
        <f>C57-D57</f>
        <v>6514.700000000002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1143.6</v>
      </c>
      <c r="C59" s="46">
        <f>7844.6+200</f>
        <v>8044.6</v>
      </c>
      <c r="D59" s="47">
        <f>55.6+0.2+146.1+0.4+60.8+0.4+59.3+73.6+0.1+18.6</f>
        <v>415.1</v>
      </c>
      <c r="E59" s="3">
        <f>D59/D150*100</f>
        <v>0.1732520677765762</v>
      </c>
      <c r="F59" s="3">
        <f>D59/B59*100</f>
        <v>36.29765652325989</v>
      </c>
      <c r="G59" s="3">
        <f t="shared" si="4"/>
        <v>5.159983094249559</v>
      </c>
      <c r="H59" s="47">
        <f>B59-D59</f>
        <v>728.4999999999999</v>
      </c>
      <c r="I59" s="47">
        <f t="shared" si="5"/>
        <v>7629.5</v>
      </c>
    </row>
    <row r="60" spans="1:9" ht="18">
      <c r="A60" s="23" t="s">
        <v>3</v>
      </c>
      <c r="B60" s="42">
        <v>708.5</v>
      </c>
      <c r="C60" s="43">
        <v>2900.3</v>
      </c>
      <c r="D60" s="44">
        <f>55.6+146.1+60.8+59.3+73.6+0.1</f>
        <v>395.5</v>
      </c>
      <c r="E60" s="1">
        <f>D60/D59*100</f>
        <v>95.27824620573355</v>
      </c>
      <c r="F60" s="1">
        <f t="shared" si="6"/>
        <v>55.82215949188426</v>
      </c>
      <c r="G60" s="1">
        <f t="shared" si="4"/>
        <v>13.636520359962761</v>
      </c>
      <c r="H60" s="44">
        <f t="shared" si="7"/>
        <v>313</v>
      </c>
      <c r="I60" s="44">
        <f t="shared" si="5"/>
        <v>2504.8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221</v>
      </c>
      <c r="C62" s="43">
        <v>451.8</v>
      </c>
      <c r="D62" s="44">
        <f>0.4+18.6</f>
        <v>19</v>
      </c>
      <c r="E62" s="1">
        <f>D62/D59*100</f>
        <v>4.577210310768489</v>
      </c>
      <c r="F62" s="1">
        <f t="shared" si="6"/>
        <v>8.597285067873303</v>
      </c>
      <c r="G62" s="1">
        <f t="shared" si="4"/>
        <v>4.20540061974325</v>
      </c>
      <c r="H62" s="44">
        <f t="shared" si="7"/>
        <v>202</v>
      </c>
      <c r="I62" s="44">
        <f t="shared" si="5"/>
        <v>432.8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214.0999999999999</v>
      </c>
      <c r="C64" s="43">
        <f>C59-C60-C62-C63-C61</f>
        <v>648.3000000000001</v>
      </c>
      <c r="D64" s="43">
        <f>D59-D60-D62-D63-D61</f>
        <v>0.6000000000000227</v>
      </c>
      <c r="E64" s="1">
        <f>D64/D59*100</f>
        <v>0.14454348349795776</v>
      </c>
      <c r="F64" s="1">
        <f t="shared" si="6"/>
        <v>0.28024287716021623</v>
      </c>
      <c r="G64" s="1">
        <f t="shared" si="4"/>
        <v>0.0925497454882034</v>
      </c>
      <c r="H64" s="44">
        <f t="shared" si="7"/>
        <v>213.4999999999999</v>
      </c>
      <c r="I64" s="44">
        <f t="shared" si="5"/>
        <v>647.7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340.3</v>
      </c>
      <c r="C69" s="46">
        <f>C70+C71</f>
        <v>556.3</v>
      </c>
      <c r="D69" s="47">
        <f>SUM(D70:D71)</f>
        <v>20.7</v>
      </c>
      <c r="E69" s="35">
        <f>D69/D150*100</f>
        <v>0.00863964780287913</v>
      </c>
      <c r="F69" s="3">
        <f>D69/B69*100</f>
        <v>6.082868057596238</v>
      </c>
      <c r="G69" s="3">
        <f t="shared" si="4"/>
        <v>3.7210138414524536</v>
      </c>
      <c r="H69" s="47">
        <f>B69-D69</f>
        <v>319.6</v>
      </c>
      <c r="I69" s="47">
        <f t="shared" si="5"/>
        <v>535.5999999999999</v>
      </c>
    </row>
    <row r="70" spans="1:9" ht="18">
      <c r="A70" s="23" t="s">
        <v>8</v>
      </c>
      <c r="B70" s="42">
        <f>284.5-85.3+85.3</f>
        <v>284.5</v>
      </c>
      <c r="C70" s="43">
        <f>289</f>
        <v>289</v>
      </c>
      <c r="D70" s="44">
        <f>19.2+1.5</f>
        <v>20.7</v>
      </c>
      <c r="E70" s="1">
        <f>D70/D69*100</f>
        <v>100</v>
      </c>
      <c r="F70" s="1">
        <f t="shared" si="6"/>
        <v>7.275922671353251</v>
      </c>
      <c r="G70" s="1">
        <f t="shared" si="4"/>
        <v>7.162629757785467</v>
      </c>
      <c r="H70" s="44">
        <f t="shared" si="7"/>
        <v>263.8</v>
      </c>
      <c r="I70" s="44">
        <f t="shared" si="5"/>
        <v>268.3</v>
      </c>
    </row>
    <row r="71" spans="1:9" ht="18.75" thickBot="1">
      <c r="A71" s="23" t="s">
        <v>9</v>
      </c>
      <c r="B71" s="42">
        <f>55.8+6.6-6.6</f>
        <v>55.8</v>
      </c>
      <c r="C71" s="43">
        <v>267.3</v>
      </c>
      <c r="D71" s="44"/>
      <c r="E71" s="1">
        <f>D71/D70*100</f>
        <v>0</v>
      </c>
      <c r="F71" s="1">
        <f t="shared" si="6"/>
        <v>0</v>
      </c>
      <c r="G71" s="1">
        <f t="shared" si="4"/>
        <v>0</v>
      </c>
      <c r="H71" s="44">
        <f t="shared" si="7"/>
        <v>55.8</v>
      </c>
      <c r="I71" s="44">
        <f t="shared" si="5"/>
        <v>267.3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2500-100</f>
        <v>2400</v>
      </c>
      <c r="C77" s="62">
        <f>10000-100</f>
        <v>9900</v>
      </c>
      <c r="D77" s="63"/>
      <c r="E77" s="41"/>
      <c r="F77" s="41"/>
      <c r="G77" s="41"/>
      <c r="H77" s="63">
        <f>B77-D77</f>
        <v>2400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41808.9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</f>
        <v>13162.5</v>
      </c>
      <c r="E90" s="3">
        <f>D90/D150*100</f>
        <v>5.493689092048143</v>
      </c>
      <c r="F90" s="3">
        <f aca="true" t="shared" si="10" ref="F90:F96">D90/B90*100</f>
        <v>31.482531231388535</v>
      </c>
      <c r="G90" s="3">
        <f t="shared" si="8"/>
        <v>8.332805773613574</v>
      </c>
      <c r="H90" s="47">
        <f aca="true" t="shared" si="11" ref="H90:H96">B90-D90</f>
        <v>28646.4</v>
      </c>
      <c r="I90" s="47">
        <f t="shared" si="9"/>
        <v>144797.5</v>
      </c>
    </row>
    <row r="91" spans="1:9" ht="18">
      <c r="A91" s="23" t="s">
        <v>3</v>
      </c>
      <c r="B91" s="42">
        <v>38207</v>
      </c>
      <c r="C91" s="43">
        <v>148246.2</v>
      </c>
      <c r="D91" s="44">
        <f>1016.5+861.2+216.8+0.1+15.6+1633.8+1584.8+610.3+2+34.8+60.4+677.1+1434.4+388.2+14.5+46.2+0.1+225.9+1690.4+1880.4+5.7</f>
        <v>12399.200000000003</v>
      </c>
      <c r="E91" s="1">
        <f>D91/D90*100</f>
        <v>94.20094966761636</v>
      </c>
      <c r="F91" s="1">
        <f t="shared" si="10"/>
        <v>32.4526919150941</v>
      </c>
      <c r="G91" s="1">
        <f t="shared" si="8"/>
        <v>8.363924336677771</v>
      </c>
      <c r="H91" s="44">
        <f t="shared" si="11"/>
        <v>25807.799999999996</v>
      </c>
      <c r="I91" s="44">
        <f t="shared" si="9"/>
        <v>135847</v>
      </c>
    </row>
    <row r="92" spans="1:9" ht="18">
      <c r="A92" s="23" t="s">
        <v>26</v>
      </c>
      <c r="B92" s="42">
        <v>1217.3</v>
      </c>
      <c r="C92" s="43">
        <v>2620.6</v>
      </c>
      <c r="D92" s="44">
        <f>48.5+5.1+5+1.3+22.8</f>
        <v>82.7</v>
      </c>
      <c r="E92" s="1">
        <f>D92/D90*100</f>
        <v>0.6283000949667616</v>
      </c>
      <c r="F92" s="1">
        <f t="shared" si="10"/>
        <v>6.793723815000412</v>
      </c>
      <c r="G92" s="1">
        <f t="shared" si="8"/>
        <v>3.1557658551476764</v>
      </c>
      <c r="H92" s="44">
        <f t="shared" si="11"/>
        <v>1134.6</v>
      </c>
      <c r="I92" s="44">
        <f t="shared" si="9"/>
        <v>2537.9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2384.6000000000013</v>
      </c>
      <c r="C94" s="43">
        <f>C90-C91-C92-C93</f>
        <v>7093.199999999988</v>
      </c>
      <c r="D94" s="43">
        <f>D90-D91-D92-D93</f>
        <v>680.5999999999974</v>
      </c>
      <c r="E94" s="1">
        <f>D94/D90*100</f>
        <v>5.170750237416884</v>
      </c>
      <c r="F94" s="1">
        <f t="shared" si="10"/>
        <v>28.541474461125432</v>
      </c>
      <c r="G94" s="1">
        <f>D94/C94*100</f>
        <v>9.595105171149813</v>
      </c>
      <c r="H94" s="44">
        <f t="shared" si="11"/>
        <v>1704.0000000000039</v>
      </c>
      <c r="I94" s="44">
        <f>C94-D94</f>
        <v>6412.59999999999</v>
      </c>
    </row>
    <row r="95" spans="1:9" ht="18.75">
      <c r="A95" s="108" t="s">
        <v>12</v>
      </c>
      <c r="B95" s="111">
        <v>18881.9</v>
      </c>
      <c r="C95" s="113">
        <v>59880.5</v>
      </c>
      <c r="D95" s="112">
        <f>158.8+434.4+321.9+32+1220.1+1621.7+82.6+1043.7+489.5+1835.3+427.5+91.3+190+524+63.3+11.3+68.3+293.9+953+327.8+2372.9</f>
        <v>12563.299999999996</v>
      </c>
      <c r="E95" s="107">
        <f>D95/D150*100</f>
        <v>5.24359841748364</v>
      </c>
      <c r="F95" s="110">
        <f t="shared" si="10"/>
        <v>66.53620663174785</v>
      </c>
      <c r="G95" s="106">
        <f>D95/C95*100</f>
        <v>20.98061973430415</v>
      </c>
      <c r="H95" s="112">
        <f t="shared" si="11"/>
        <v>6318.600000000006</v>
      </c>
      <c r="I95" s="122">
        <f>C95-D95</f>
        <v>47317.200000000004</v>
      </c>
    </row>
    <row r="96" spans="1:9" ht="18.75" thickBot="1">
      <c r="A96" s="109" t="s">
        <v>85</v>
      </c>
      <c r="B96" s="114">
        <v>2826.1</v>
      </c>
      <c r="C96" s="115">
        <f>10660.3-133.5</f>
        <v>10526.8</v>
      </c>
      <c r="D96" s="116">
        <f>69.1+1043.7+68.3+1051.8</f>
        <v>2232.8999999999996</v>
      </c>
      <c r="E96" s="117">
        <f>D96/D95*100</f>
        <v>17.773196532758114</v>
      </c>
      <c r="F96" s="118">
        <f t="shared" si="10"/>
        <v>79.00994303103217</v>
      </c>
      <c r="G96" s="119">
        <f>D96/C96*100</f>
        <v>21.21157426758369</v>
      </c>
      <c r="H96" s="123">
        <f t="shared" si="11"/>
        <v>593.2000000000003</v>
      </c>
      <c r="I96" s="124">
        <f>C96-D96</f>
        <v>8293.9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3495.3</v>
      </c>
      <c r="C102" s="92">
        <f>12999.2-348</f>
        <v>12651.2</v>
      </c>
      <c r="D102" s="79">
        <f>139.4+4+202+15.3+32.9+18.1+0.4+4+39.7+141.6+9.9+31.3+27.6+1.1+399+127.2+7.6+63.2</f>
        <v>1264.3</v>
      </c>
      <c r="E102" s="19">
        <f>D102/D150*100</f>
        <v>0.5276863148396176</v>
      </c>
      <c r="F102" s="19">
        <f>D102/B102*100</f>
        <v>36.171430206277</v>
      </c>
      <c r="G102" s="19">
        <f aca="true" t="shared" si="12" ref="G102:G148">D102/C102*100</f>
        <v>9.993518401416464</v>
      </c>
      <c r="H102" s="79">
        <f aca="true" t="shared" si="13" ref="H102:H107">B102-D102</f>
        <v>2231</v>
      </c>
      <c r="I102" s="79">
        <f aca="true" t="shared" si="14" ref="I102:I148">C102-D102</f>
        <v>11386.900000000001</v>
      </c>
    </row>
    <row r="103" spans="1:9" ht="18">
      <c r="A103" s="23" t="s">
        <v>3</v>
      </c>
      <c r="B103" s="89">
        <v>35.4</v>
      </c>
      <c r="C103" s="87">
        <v>259.1</v>
      </c>
      <c r="D103" s="87"/>
      <c r="E103" s="83">
        <f>D103/D102*100</f>
        <v>0</v>
      </c>
      <c r="F103" s="103">
        <f>D103/B103*100</f>
        <v>0</v>
      </c>
      <c r="G103" s="83">
        <f>D103/C103*100</f>
        <v>0</v>
      </c>
      <c r="H103" s="87">
        <f t="shared" si="13"/>
        <v>35.4</v>
      </c>
      <c r="I103" s="87">
        <f t="shared" si="14"/>
        <v>259.1</v>
      </c>
    </row>
    <row r="104" spans="1:9" ht="18">
      <c r="A104" s="85" t="s">
        <v>49</v>
      </c>
      <c r="B104" s="74">
        <v>2967.9</v>
      </c>
      <c r="C104" s="44">
        <f>10720.8-348</f>
        <v>10372.8</v>
      </c>
      <c r="D104" s="44">
        <f>139.3+4+202+15.3-0.1+4+25.4+141.4+9.8+31.2+1.1+390.1+50+2+0.1+51.6</f>
        <v>1067.2</v>
      </c>
      <c r="E104" s="1">
        <f>D104/D102*100</f>
        <v>84.41034564581193</v>
      </c>
      <c r="F104" s="1">
        <f aca="true" t="shared" si="15" ref="F104:F148">D104/B104*100</f>
        <v>35.95808484113346</v>
      </c>
      <c r="G104" s="1">
        <f t="shared" si="12"/>
        <v>10.288446706771557</v>
      </c>
      <c r="H104" s="44">
        <f t="shared" si="13"/>
        <v>1900.7</v>
      </c>
      <c r="I104" s="44">
        <f t="shared" si="14"/>
        <v>9305.599999999999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492</v>
      </c>
      <c r="C106" s="88">
        <f>C102-C103-C104</f>
        <v>2019.300000000001</v>
      </c>
      <c r="D106" s="88">
        <f>D102-D103-D104</f>
        <v>197.0999999999999</v>
      </c>
      <c r="E106" s="84">
        <f>D106/D102*100</f>
        <v>15.589654354188081</v>
      </c>
      <c r="F106" s="84">
        <f t="shared" si="15"/>
        <v>40.06097560975608</v>
      </c>
      <c r="G106" s="84">
        <f t="shared" si="12"/>
        <v>9.760808200861675</v>
      </c>
      <c r="H106" s="124">
        <f>B106-D106</f>
        <v>294.9000000000001</v>
      </c>
      <c r="I106" s="124">
        <f t="shared" si="14"/>
        <v>1822.2000000000012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87819.7</v>
      </c>
      <c r="C107" s="81">
        <f>SUM(C108:C147)-C115-C119+C148-C139-C140-C109-C112-C122-C123-C137-C131-C129</f>
        <v>553374.9999999999</v>
      </c>
      <c r="D107" s="81">
        <f>SUM(D108:D147)-D115-D119+D148-D139-D140-D109-D112-D122-D123-D137-D131-D129</f>
        <v>45451.299999999996</v>
      </c>
      <c r="E107" s="82">
        <f>D107/D150*100</f>
        <v>18.970204066811604</v>
      </c>
      <c r="F107" s="82">
        <f>D107/B107*100</f>
        <v>51.75524398284212</v>
      </c>
      <c r="G107" s="82">
        <f t="shared" si="12"/>
        <v>8.213471877117689</v>
      </c>
      <c r="H107" s="81">
        <f t="shared" si="13"/>
        <v>42368.4</v>
      </c>
      <c r="I107" s="81">
        <f t="shared" si="14"/>
        <v>507923.6999999999</v>
      </c>
    </row>
    <row r="108" spans="1:9" ht="37.5">
      <c r="A108" s="28" t="s">
        <v>53</v>
      </c>
      <c r="B108" s="71">
        <v>1480.4</v>
      </c>
      <c r="C108" s="67">
        <v>4095.6</v>
      </c>
      <c r="D108" s="72">
        <f>12.6+3.2+110.8+149.9+0.1+86</f>
        <v>362.6</v>
      </c>
      <c r="E108" s="6">
        <f>D108/D107*100</f>
        <v>0.7977769612750352</v>
      </c>
      <c r="F108" s="6">
        <f t="shared" si="15"/>
        <v>24.49338016752229</v>
      </c>
      <c r="G108" s="6">
        <f t="shared" si="12"/>
        <v>8.853403652700461</v>
      </c>
      <c r="H108" s="61">
        <f aca="true" t="shared" si="16" ref="H108:H148">B108-D108</f>
        <v>1117.8000000000002</v>
      </c>
      <c r="I108" s="61">
        <f t="shared" si="14"/>
        <v>3733</v>
      </c>
    </row>
    <row r="109" spans="1:9" ht="18">
      <c r="A109" s="23" t="s">
        <v>26</v>
      </c>
      <c r="B109" s="74">
        <v>1072.9</v>
      </c>
      <c r="C109" s="44">
        <v>2633.8</v>
      </c>
      <c r="D109" s="75">
        <f>68.3+138.7+47.8</f>
        <v>254.8</v>
      </c>
      <c r="E109" s="1">
        <f>D109/D108*100</f>
        <v>70.27027027027027</v>
      </c>
      <c r="F109" s="1">
        <f t="shared" si="15"/>
        <v>23.74871842669401</v>
      </c>
      <c r="G109" s="1">
        <f t="shared" si="12"/>
        <v>9.674234945705825</v>
      </c>
      <c r="H109" s="44">
        <f t="shared" si="16"/>
        <v>818.1000000000001</v>
      </c>
      <c r="I109" s="44">
        <f t="shared" si="14"/>
        <v>2379</v>
      </c>
    </row>
    <row r="110" spans="1:9" ht="34.5" customHeight="1">
      <c r="A110" s="16" t="s">
        <v>80</v>
      </c>
      <c r="B110" s="73">
        <v>346.9</v>
      </c>
      <c r="C110" s="61">
        <v>1175.4</v>
      </c>
      <c r="D110" s="72"/>
      <c r="E110" s="6">
        <f>D110/D107*100</f>
        <v>0</v>
      </c>
      <c r="F110" s="6">
        <f>D110/B110*100</f>
        <v>0</v>
      </c>
      <c r="G110" s="6">
        <f t="shared" si="12"/>
        <v>0</v>
      </c>
      <c r="H110" s="61">
        <f t="shared" si="16"/>
        <v>346.9</v>
      </c>
      <c r="I110" s="61">
        <f t="shared" si="14"/>
        <v>1175.4</v>
      </c>
    </row>
    <row r="111" spans="1:9" s="37" customFormat="1" ht="34.5" customHeight="1">
      <c r="A111" s="16" t="s">
        <v>100</v>
      </c>
      <c r="B111" s="73">
        <f>69.5+246.2-246.2</f>
        <v>69.5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69.5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22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22</v>
      </c>
      <c r="I113" s="61">
        <f t="shared" si="14"/>
        <v>60</v>
      </c>
    </row>
    <row r="114" spans="1:9" ht="37.5">
      <c r="A114" s="16" t="s">
        <v>39</v>
      </c>
      <c r="B114" s="73">
        <v>841.4</v>
      </c>
      <c r="C114" s="61">
        <v>2915.4</v>
      </c>
      <c r="D114" s="72">
        <f>136.4+40+10+2+0.1+10.6+142+54.3+10.6</f>
        <v>406.00000000000006</v>
      </c>
      <c r="E114" s="6">
        <f>D114/D107*100</f>
        <v>0.8932637790338233</v>
      </c>
      <c r="F114" s="6">
        <f t="shared" si="15"/>
        <v>48.252911813643934</v>
      </c>
      <c r="G114" s="6">
        <f t="shared" si="12"/>
        <v>13.926047883652332</v>
      </c>
      <c r="H114" s="61">
        <f t="shared" si="16"/>
        <v>435.3999999999999</v>
      </c>
      <c r="I114" s="61">
        <f t="shared" si="14"/>
        <v>2509.4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135.6</v>
      </c>
      <c r="C118" s="53">
        <v>422.8</v>
      </c>
      <c r="D118" s="72">
        <f>39+5+6.2+39.1</f>
        <v>89.30000000000001</v>
      </c>
      <c r="E118" s="6">
        <f>D118/D107*100</f>
        <v>0.19647402824561677</v>
      </c>
      <c r="F118" s="6">
        <f t="shared" si="15"/>
        <v>65.85545722713866</v>
      </c>
      <c r="G118" s="6">
        <f t="shared" si="12"/>
        <v>21.12109744560076</v>
      </c>
      <c r="H118" s="61">
        <f t="shared" si="16"/>
        <v>46.29999999999998</v>
      </c>
      <c r="I118" s="61">
        <f t="shared" si="14"/>
        <v>333.5</v>
      </c>
    </row>
    <row r="119" spans="1:9" s="32" customFormat="1" ht="18">
      <c r="A119" s="33" t="s">
        <v>44</v>
      </c>
      <c r="B119" s="74">
        <v>117.1</v>
      </c>
      <c r="C119" s="44">
        <v>351.4</v>
      </c>
      <c r="D119" s="75">
        <f>39+39.1</f>
        <v>78.1</v>
      </c>
      <c r="E119" s="1">
        <f>D119/D118*100</f>
        <v>87.45800671892495</v>
      </c>
      <c r="F119" s="1">
        <f t="shared" si="15"/>
        <v>66.69513236549957</v>
      </c>
      <c r="G119" s="1">
        <f t="shared" si="12"/>
        <v>22.225384177575414</v>
      </c>
      <c r="H119" s="44">
        <f t="shared" si="16"/>
        <v>39</v>
      </c>
      <c r="I119" s="44">
        <f t="shared" si="14"/>
        <v>273.29999999999995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f>10132.5+948.2</f>
        <v>11080.7</v>
      </c>
      <c r="C124" s="53">
        <f>33585.8+9933.2</f>
        <v>43519</v>
      </c>
      <c r="D124" s="76">
        <f>3483.8+2635.6+1853.3</f>
        <v>7972.7</v>
      </c>
      <c r="E124" s="17">
        <f>D124/D107*100</f>
        <v>17.5411924411403</v>
      </c>
      <c r="F124" s="6">
        <f t="shared" si="15"/>
        <v>71.95123051792757</v>
      </c>
      <c r="G124" s="6">
        <f t="shared" si="12"/>
        <v>18.320044118660814</v>
      </c>
      <c r="H124" s="61">
        <f t="shared" si="16"/>
        <v>3108.000000000001</v>
      </c>
      <c r="I124" s="61">
        <f t="shared" si="14"/>
        <v>35546.3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695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f>405.4</f>
        <v>405.4</v>
      </c>
      <c r="C128" s="53">
        <v>1253.3</v>
      </c>
      <c r="D128" s="76">
        <f>6.5+6.7+0.9+10.2+6.4</f>
        <v>30.699999999999996</v>
      </c>
      <c r="E128" s="17">
        <f>D128/D107*100</f>
        <v>0.0675448227003408</v>
      </c>
      <c r="F128" s="6">
        <f t="shared" si="15"/>
        <v>7.572767636901825</v>
      </c>
      <c r="G128" s="6">
        <f t="shared" si="12"/>
        <v>2.4495332322668153</v>
      </c>
      <c r="H128" s="61">
        <f t="shared" si="16"/>
        <v>374.7</v>
      </c>
      <c r="I128" s="61">
        <f t="shared" si="14"/>
        <v>1222.6</v>
      </c>
    </row>
    <row r="129" spans="1:9" s="32" customFormat="1" ht="18">
      <c r="A129" s="23" t="s">
        <v>90</v>
      </c>
      <c r="B129" s="74">
        <v>104.4</v>
      </c>
      <c r="C129" s="44">
        <v>459.6</v>
      </c>
      <c r="D129" s="75">
        <f>6.4+6.4</f>
        <v>12.8</v>
      </c>
      <c r="E129" s="1">
        <f>D129/D128*100</f>
        <v>41.69381107491857</v>
      </c>
      <c r="F129" s="1">
        <f>D129/B129*100</f>
        <v>12.260536398467432</v>
      </c>
      <c r="G129" s="1">
        <f t="shared" si="12"/>
        <v>2.78503046127067</v>
      </c>
      <c r="H129" s="44">
        <f t="shared" si="16"/>
        <v>91.60000000000001</v>
      </c>
      <c r="I129" s="44">
        <f t="shared" si="14"/>
        <v>446.8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27.1</v>
      </c>
      <c r="C134" s="53">
        <v>108.1</v>
      </c>
      <c r="D134" s="76">
        <f>3.8</f>
        <v>3.8</v>
      </c>
      <c r="E134" s="17">
        <f>D134/D107*100</f>
        <v>0.008360596946621989</v>
      </c>
      <c r="F134" s="6">
        <f t="shared" si="15"/>
        <v>14.022140221402212</v>
      </c>
      <c r="G134" s="6">
        <f t="shared" si="12"/>
        <v>3.515263644773358</v>
      </c>
      <c r="H134" s="61">
        <f t="shared" si="16"/>
        <v>23.3</v>
      </c>
      <c r="I134" s="61">
        <f t="shared" si="14"/>
        <v>104.3</v>
      </c>
    </row>
    <row r="135" spans="1:9" s="2" customFormat="1" ht="37.5">
      <c r="A135" s="16" t="s">
        <v>56</v>
      </c>
      <c r="B135" s="73">
        <v>68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68</v>
      </c>
      <c r="I135" s="61">
        <f t="shared" si="14"/>
        <v>626.8</v>
      </c>
    </row>
    <row r="136" spans="1:9" s="2" customFormat="1" ht="37.5">
      <c r="A136" s="16" t="s">
        <v>86</v>
      </c>
      <c r="B136" s="73">
        <v>147.8</v>
      </c>
      <c r="C136" s="53">
        <v>381.2</v>
      </c>
      <c r="D136" s="76">
        <f>0.5+1.3+15.9</f>
        <v>17.7</v>
      </c>
      <c r="E136" s="17">
        <f>D136/D107*100</f>
        <v>0.038942780514528735</v>
      </c>
      <c r="F136" s="6">
        <f t="shared" si="15"/>
        <v>11.975642760487142</v>
      </c>
      <c r="G136" s="6">
        <f>D136/C136*100</f>
        <v>4.643231899265477</v>
      </c>
      <c r="H136" s="61">
        <f t="shared" si="16"/>
        <v>130.10000000000002</v>
      </c>
      <c r="I136" s="61">
        <f t="shared" si="14"/>
        <v>363.5</v>
      </c>
    </row>
    <row r="137" spans="1:9" s="32" customFormat="1" ht="18">
      <c r="A137" s="23" t="s">
        <v>26</v>
      </c>
      <c r="B137" s="74">
        <v>121</v>
      </c>
      <c r="C137" s="44">
        <v>306.1</v>
      </c>
      <c r="D137" s="75">
        <v>15.9</v>
      </c>
      <c r="E137" s="103">
        <f>D137/D136*100</f>
        <v>89.83050847457628</v>
      </c>
      <c r="F137" s="1">
        <f t="shared" si="15"/>
        <v>13.140495867768594</v>
      </c>
      <c r="G137" s="1">
        <f>D137/C137*100</f>
        <v>5.194380921267559</v>
      </c>
      <c r="H137" s="44">
        <f t="shared" si="16"/>
        <v>105.1</v>
      </c>
      <c r="I137" s="44">
        <f t="shared" si="14"/>
        <v>290.20000000000005</v>
      </c>
    </row>
    <row r="138" spans="1:9" s="2" customFormat="1" ht="18.75">
      <c r="A138" s="16" t="s">
        <v>103</v>
      </c>
      <c r="B138" s="73">
        <v>354.9</v>
      </c>
      <c r="C138" s="53">
        <v>1397.4</v>
      </c>
      <c r="D138" s="76">
        <f>26+59.9+0.4-0.1+0.1+27.3+5.8+57.7+6.3</f>
        <v>183.40000000000003</v>
      </c>
      <c r="E138" s="17">
        <f>D138/D107*100</f>
        <v>0.4035088105290719</v>
      </c>
      <c r="F138" s="6">
        <f t="shared" si="15"/>
        <v>51.67652859960553</v>
      </c>
      <c r="G138" s="6">
        <f t="shared" si="12"/>
        <v>13.124373837126093</v>
      </c>
      <c r="H138" s="61">
        <f t="shared" si="16"/>
        <v>171.49999999999994</v>
      </c>
      <c r="I138" s="61">
        <f t="shared" si="14"/>
        <v>1214</v>
      </c>
    </row>
    <row r="139" spans="1:9" s="32" customFormat="1" ht="18">
      <c r="A139" s="33" t="s">
        <v>44</v>
      </c>
      <c r="B139" s="74">
        <v>259.6</v>
      </c>
      <c r="C139" s="44">
        <v>1063.5</v>
      </c>
      <c r="D139" s="75">
        <f>26+59.9+27.3+57.1-0.1</f>
        <v>170.20000000000002</v>
      </c>
      <c r="E139" s="1">
        <f>D139/D138*100</f>
        <v>92.80261723009814</v>
      </c>
      <c r="F139" s="1">
        <f aca="true" t="shared" si="17" ref="F139:F147">D139/B139*100</f>
        <v>65.56240369799691</v>
      </c>
      <c r="G139" s="1">
        <f t="shared" si="12"/>
        <v>16.00376116596145</v>
      </c>
      <c r="H139" s="44">
        <f t="shared" si="16"/>
        <v>89.4</v>
      </c>
      <c r="I139" s="44">
        <f t="shared" si="14"/>
        <v>893.3</v>
      </c>
    </row>
    <row r="140" spans="1:9" s="32" customFormat="1" ht="18">
      <c r="A140" s="23" t="s">
        <v>26</v>
      </c>
      <c r="B140" s="74">
        <v>21.3</v>
      </c>
      <c r="C140" s="44">
        <v>37.5</v>
      </c>
      <c r="D140" s="75">
        <f>0.4+5.6+0.6</f>
        <v>6.6</v>
      </c>
      <c r="E140" s="1">
        <f>D140/D138*100</f>
        <v>3.5986913849509263</v>
      </c>
      <c r="F140" s="1">
        <f t="shared" si="17"/>
        <v>30.985915492957744</v>
      </c>
      <c r="G140" s="1">
        <f>D140/C140*100</f>
        <v>17.599999999999998</v>
      </c>
      <c r="H140" s="44">
        <f t="shared" si="16"/>
        <v>14.700000000000001</v>
      </c>
      <c r="I140" s="44">
        <f t="shared" si="14"/>
        <v>30.9</v>
      </c>
    </row>
    <row r="141" spans="1:9" s="2" customFormat="1" ht="56.25">
      <c r="A141" s="18" t="s">
        <v>110</v>
      </c>
      <c r="B141" s="73"/>
      <c r="C141" s="53">
        <v>200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200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16430.8-1000</f>
        <v>15430.8</v>
      </c>
      <c r="C143" s="53">
        <f>67967+150-2500</f>
        <v>65617</v>
      </c>
      <c r="D143" s="76">
        <f>2189.1+2579.7+68.9+525.7+232.8+205.1+14+182+44.6+100.3+189.9+11.2</f>
        <v>6343.299999999999</v>
      </c>
      <c r="E143" s="17">
        <f>D143/D107*100</f>
        <v>13.956256476712436</v>
      </c>
      <c r="F143" s="99">
        <f t="shared" si="17"/>
        <v>41.10804365295383</v>
      </c>
      <c r="G143" s="6">
        <f t="shared" si="12"/>
        <v>9.667159425148968</v>
      </c>
      <c r="H143" s="61">
        <f t="shared" si="16"/>
        <v>9087.5</v>
      </c>
      <c r="I143" s="61">
        <f t="shared" si="14"/>
        <v>59273.7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/>
      <c r="E145" s="17">
        <f>D145/D107*100</f>
        <v>0</v>
      </c>
      <c r="F145" s="128">
        <f t="shared" si="17"/>
        <v>0</v>
      </c>
      <c r="G145" s="6">
        <f t="shared" si="12"/>
        <v>0</v>
      </c>
      <c r="H145" s="61">
        <f t="shared" si="16"/>
        <v>64.1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2856.3</v>
      </c>
      <c r="C146" s="53">
        <v>10550.8</v>
      </c>
      <c r="D146" s="76">
        <f>1601.8+39.7+92.5</f>
        <v>1734</v>
      </c>
      <c r="E146" s="17">
        <f>D146/D107*100</f>
        <v>3.815072396169087</v>
      </c>
      <c r="F146" s="99">
        <f t="shared" si="17"/>
        <v>60.70790883310576</v>
      </c>
      <c r="G146" s="6">
        <f t="shared" si="12"/>
        <v>16.434772718656408</v>
      </c>
      <c r="H146" s="61">
        <f t="shared" si="16"/>
        <v>1122.3000000000002</v>
      </c>
      <c r="I146" s="61">
        <f t="shared" si="14"/>
        <v>8816.8</v>
      </c>
      <c r="K146" s="38"/>
      <c r="L146" s="38"/>
    </row>
    <row r="147" spans="1:12" s="2" customFormat="1" ht="19.5" customHeight="1">
      <c r="A147" s="16" t="s">
        <v>51</v>
      </c>
      <c r="B147" s="73">
        <f>42349.6+4476.3</f>
        <v>46825.9</v>
      </c>
      <c r="C147" s="53">
        <f>376354.8-1000+14285.9</f>
        <v>389640.7</v>
      </c>
      <c r="D147" s="76">
        <f>4905.7+9487.9+9000</f>
        <v>23393.6</v>
      </c>
      <c r="E147" s="17">
        <f>D147/D107*100</f>
        <v>51.469594929077935</v>
      </c>
      <c r="F147" s="6">
        <f t="shared" si="17"/>
        <v>49.95867671523665</v>
      </c>
      <c r="G147" s="6">
        <f t="shared" si="12"/>
        <v>6.0038902506847975</v>
      </c>
      <c r="H147" s="61">
        <f t="shared" si="16"/>
        <v>23432.300000000003</v>
      </c>
      <c r="I147" s="61">
        <f t="shared" si="14"/>
        <v>366247.10000000003</v>
      </c>
      <c r="K147" s="91"/>
      <c r="L147" s="38"/>
    </row>
    <row r="148" spans="1:12" s="2" customFormat="1" ht="18.75">
      <c r="A148" s="16" t="s">
        <v>106</v>
      </c>
      <c r="B148" s="73">
        <v>7371.3</v>
      </c>
      <c r="C148" s="53">
        <v>29485.2</v>
      </c>
      <c r="D148" s="76">
        <f>819+819+819.1+819+819+819.1</f>
        <v>4914.2</v>
      </c>
      <c r="E148" s="17">
        <f>D148/D107*100</f>
        <v>10.812011977655205</v>
      </c>
      <c r="F148" s="6">
        <f t="shared" si="15"/>
        <v>66.66666666666666</v>
      </c>
      <c r="G148" s="6">
        <f t="shared" si="12"/>
        <v>16.666666666666664</v>
      </c>
      <c r="H148" s="61">
        <f t="shared" si="16"/>
        <v>2457.1000000000004</v>
      </c>
      <c r="I148" s="61">
        <f t="shared" si="14"/>
        <v>24571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94608</v>
      </c>
      <c r="C149" s="77">
        <f>C43+C69+C72+C77+C79+C87+C102+C107+C100+C84+C98</f>
        <v>578037.6999999998</v>
      </c>
      <c r="D149" s="53">
        <f>D43+D69+D72+D77+D79+D87+D102+D107+D100+D84+D98</f>
        <v>47064.7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454509.5</v>
      </c>
      <c r="C150" s="47">
        <f>C6+C18+C33+C43+C51+C59+C69+C72+C77+C79+C87+C90+C95+C102+C107+C100+C84+C98+C45</f>
        <v>1878362.4</v>
      </c>
      <c r="D150" s="47">
        <f>D6+D18+D33+D43+D51+D59+D69+D72+D77+D79+D87+D90+D95+D102+D107+D100+D84+D98+D45</f>
        <v>239593.1</v>
      </c>
      <c r="E150" s="31">
        <v>100</v>
      </c>
      <c r="F150" s="3">
        <f>D150/B150*100</f>
        <v>52.714651728951765</v>
      </c>
      <c r="G150" s="3">
        <f aca="true" t="shared" si="18" ref="G150:G156">D150/C150*100</f>
        <v>12.755424618806256</v>
      </c>
      <c r="H150" s="47">
        <f aca="true" t="shared" si="19" ref="H150:H156">B150-D150</f>
        <v>214916.4</v>
      </c>
      <c r="I150" s="47">
        <f aca="true" t="shared" si="20" ref="I150:I156">C150-D150</f>
        <v>1638769.2999999998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171611.9</v>
      </c>
      <c r="C151" s="60">
        <f>C8+C20+C34+C52+C60+C91+C115+C119+C46+C139+C131+C103</f>
        <v>722894.7</v>
      </c>
      <c r="D151" s="60">
        <f>D8+D20+D34+D52+D60+D91+D115+D119+D46+D139+D131+D103</f>
        <v>99190.09999999999</v>
      </c>
      <c r="E151" s="6">
        <f>D151/D150*100</f>
        <v>41.39939756194982</v>
      </c>
      <c r="F151" s="6">
        <f aca="true" t="shared" si="21" ref="F151:F156">D151/B151*100</f>
        <v>57.799080366804404</v>
      </c>
      <c r="G151" s="6">
        <f t="shared" si="18"/>
        <v>13.7212376851013</v>
      </c>
      <c r="H151" s="61">
        <f t="shared" si="19"/>
        <v>72421.8</v>
      </c>
      <c r="I151" s="72">
        <f t="shared" si="20"/>
        <v>623704.6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49801.20000000001</v>
      </c>
      <c r="C152" s="61">
        <f>C11+C23+C36+C55+C62+C92+C49+C140+C109+C112+C96+C137</f>
        <v>102336.00000000003</v>
      </c>
      <c r="D152" s="61">
        <f>D11+D23+D36+D55+D62+D92+D49+D140+D109+D112+D96+D137</f>
        <v>17077.700000000004</v>
      </c>
      <c r="E152" s="6">
        <f>D152/D150*100</f>
        <v>7.127792912233284</v>
      </c>
      <c r="F152" s="6">
        <f t="shared" si="21"/>
        <v>34.29174397404079</v>
      </c>
      <c r="G152" s="6">
        <f t="shared" si="18"/>
        <v>16.68787132582864</v>
      </c>
      <c r="H152" s="61">
        <f t="shared" si="19"/>
        <v>32723.500000000007</v>
      </c>
      <c r="I152" s="72">
        <f t="shared" si="20"/>
        <v>85258.30000000002</v>
      </c>
      <c r="K152" s="39"/>
      <c r="L152" s="90"/>
    </row>
    <row r="153" spans="1:12" ht="18.75">
      <c r="A153" s="18" t="s">
        <v>1</v>
      </c>
      <c r="B153" s="60">
        <f>B22+B10+B54+B48+B61+B35+B123</f>
        <v>8660.699999999999</v>
      </c>
      <c r="C153" s="60">
        <f>C22+C10+C54+C48+C61+C35+C123</f>
        <v>28682.2</v>
      </c>
      <c r="D153" s="60">
        <f>D22+D10+D54+D48+D61+D35+D123</f>
        <v>4148.1</v>
      </c>
      <c r="E153" s="6">
        <f>D153/D150*100</f>
        <v>1.7313102923247792</v>
      </c>
      <c r="F153" s="6">
        <f t="shared" si="21"/>
        <v>47.89566663202744</v>
      </c>
      <c r="G153" s="6">
        <f t="shared" si="18"/>
        <v>14.46227974144243</v>
      </c>
      <c r="H153" s="61">
        <f t="shared" si="19"/>
        <v>4512.5999999999985</v>
      </c>
      <c r="I153" s="72">
        <f t="shared" si="20"/>
        <v>24534.1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6862.7</v>
      </c>
      <c r="C154" s="60">
        <f>C12+C24+C104+C63+C38+C93+C129+C56</f>
        <v>29184.599999999995</v>
      </c>
      <c r="D154" s="60">
        <f>D12+D24+D104+D63+D38+D93+D129+D56</f>
        <v>3406.1000000000004</v>
      </c>
      <c r="E154" s="6">
        <f>D154/D150*100</f>
        <v>1.4216185691491117</v>
      </c>
      <c r="F154" s="6">
        <f t="shared" si="21"/>
        <v>49.63206901073922</v>
      </c>
      <c r="G154" s="6">
        <f t="shared" si="18"/>
        <v>11.670881218176712</v>
      </c>
      <c r="H154" s="61">
        <f t="shared" si="19"/>
        <v>3456.5999999999995</v>
      </c>
      <c r="I154" s="72">
        <f t="shared" si="20"/>
        <v>25778.499999999993</v>
      </c>
      <c r="K154" s="39"/>
      <c r="L154" s="90"/>
    </row>
    <row r="155" spans="1:12" ht="18.75">
      <c r="A155" s="18" t="s">
        <v>2</v>
      </c>
      <c r="B155" s="60">
        <f>B9+B21+B47+B53+B122</f>
        <v>24.7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24.7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217548.29999999993</v>
      </c>
      <c r="C156" s="78">
        <f>C150-C151-C152-C153-C154-C155</f>
        <v>995078</v>
      </c>
      <c r="D156" s="78">
        <f>D150-D151-D152-D153-D154-D155</f>
        <v>115771.09999999998</v>
      </c>
      <c r="E156" s="36">
        <f>D156/D150*100</f>
        <v>48.319880664342996</v>
      </c>
      <c r="F156" s="36">
        <f t="shared" si="21"/>
        <v>53.216274271046935</v>
      </c>
      <c r="G156" s="36">
        <f t="shared" si="18"/>
        <v>11.634374390751276</v>
      </c>
      <c r="H156" s="127">
        <f t="shared" si="19"/>
        <v>101777.19999999995</v>
      </c>
      <c r="I156" s="127">
        <f t="shared" si="20"/>
        <v>879306.9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239593.1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239593.1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2017-03-01T08:33:19Z</cp:lastPrinted>
  <dcterms:created xsi:type="dcterms:W3CDTF">2000-06-20T04:48:00Z</dcterms:created>
  <dcterms:modified xsi:type="dcterms:W3CDTF">2017-03-03T06:05:54Z</dcterms:modified>
  <cp:category/>
  <cp:version/>
  <cp:contentType/>
  <cp:contentStatus/>
</cp:coreProperties>
</file>